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75" activeTab="0"/>
  </bookViews>
  <sheets>
    <sheet name="所有项目收费标准" sheetId="1" r:id="rId1"/>
    <sheet name="速算表" sheetId="2" r:id="rId2"/>
  </sheets>
  <definedNames/>
  <calcPr fullCalcOnLoad="1"/>
</workbook>
</file>

<file path=xl/sharedStrings.xml><?xml version="1.0" encoding="utf-8"?>
<sst xmlns="http://schemas.openxmlformats.org/spreadsheetml/2006/main" count="105" uniqueCount="85">
  <si>
    <t>序号</t>
  </si>
  <si>
    <r>
      <t>现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有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资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产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总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额</t>
    </r>
  </si>
  <si>
    <r>
      <t>计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时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收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费</t>
    </r>
  </si>
  <si>
    <t>（每人每小时）</t>
  </si>
  <si>
    <r>
      <t>1000</t>
    </r>
    <r>
      <rPr>
        <sz val="10.5"/>
        <rFont val="宋体"/>
        <family val="0"/>
      </rPr>
      <t>万元以下</t>
    </r>
  </si>
  <si>
    <r>
      <t>1000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-1</t>
    </r>
    <r>
      <rPr>
        <sz val="10.5"/>
        <rFont val="宋体"/>
        <family val="0"/>
      </rPr>
      <t>亿元</t>
    </r>
  </si>
  <si>
    <r>
      <t>1</t>
    </r>
    <r>
      <rPr>
        <sz val="10.5"/>
        <rFont val="宋体"/>
        <family val="0"/>
      </rPr>
      <t>亿元以上</t>
    </r>
  </si>
  <si>
    <t>年度审计</t>
  </si>
  <si>
    <t>千分之二点五</t>
  </si>
  <si>
    <t>万分之一点二</t>
  </si>
  <si>
    <t>万分之一</t>
  </si>
  <si>
    <r>
      <t>300</t>
    </r>
    <r>
      <rPr>
        <sz val="10.5"/>
        <rFont val="宋体"/>
        <family val="0"/>
      </rPr>
      <t>元</t>
    </r>
  </si>
  <si>
    <t>中期审阅、离任审计、解散清算审计</t>
  </si>
  <si>
    <t>千分之二</t>
  </si>
  <si>
    <t>万分之零点八</t>
  </si>
  <si>
    <t>业务部主任</t>
  </si>
  <si>
    <r>
      <t>250</t>
    </r>
    <r>
      <rPr>
        <sz val="10.5"/>
        <rFont val="宋体"/>
        <family val="0"/>
      </rPr>
      <t>元</t>
    </r>
  </si>
  <si>
    <t>验证资本</t>
  </si>
  <si>
    <t>注册会计师</t>
  </si>
  <si>
    <r>
      <t>200</t>
    </r>
    <r>
      <rPr>
        <sz val="10.5"/>
        <rFont val="宋体"/>
        <family val="0"/>
      </rPr>
      <t>元</t>
    </r>
  </si>
  <si>
    <t>担任常年会计顾问（年度）</t>
  </si>
  <si>
    <t>万分之零点五</t>
  </si>
  <si>
    <t>万分之零点三</t>
  </si>
  <si>
    <t>审计师、会计师</t>
  </si>
  <si>
    <t>助理审计师、助理会计师</t>
  </si>
  <si>
    <r>
      <t>100</t>
    </r>
    <r>
      <rPr>
        <sz val="10.5"/>
        <rFont val="宋体"/>
        <family val="0"/>
      </rPr>
      <t>元</t>
    </r>
  </si>
  <si>
    <r>
      <t>60</t>
    </r>
    <r>
      <rPr>
        <sz val="10.5"/>
        <rFont val="宋体"/>
        <family val="0"/>
      </rPr>
      <t>元</t>
    </r>
  </si>
  <si>
    <t>拟订合同章程、编制可行性报告</t>
  </si>
  <si>
    <t>审计员及一般工作人员</t>
  </si>
  <si>
    <r>
      <t>30</t>
    </r>
    <r>
      <rPr>
        <sz val="10.5"/>
        <rFont val="宋体"/>
        <family val="0"/>
      </rPr>
      <t>元</t>
    </r>
  </si>
  <si>
    <t>设计会计制度、会计电算化设计</t>
  </si>
  <si>
    <t>千分之二点三</t>
  </si>
  <si>
    <t>清理乱帐建新帐</t>
  </si>
  <si>
    <t>与委托方商定</t>
  </si>
  <si>
    <t>财务会计税务咨询</t>
  </si>
  <si>
    <t>中外文翻译</t>
  </si>
  <si>
    <r>
      <t>按每千字计算，外文译中文每千字</t>
    </r>
    <r>
      <rPr>
        <sz val="10.5"/>
        <rFont val="Times New Roman"/>
        <family val="1"/>
      </rPr>
      <t>80</t>
    </r>
    <r>
      <rPr>
        <sz val="10.5"/>
        <rFont val="宋体"/>
        <family val="0"/>
      </rPr>
      <t>元，中文译外文每千字</t>
    </r>
    <r>
      <rPr>
        <sz val="10.5"/>
        <rFont val="Times New Roman"/>
        <family val="1"/>
      </rPr>
      <t>100</t>
    </r>
    <r>
      <rPr>
        <sz val="10.5"/>
        <rFont val="宋体"/>
        <family val="0"/>
      </rPr>
      <t>元</t>
    </r>
  </si>
  <si>
    <t>资产评估</t>
  </si>
  <si>
    <t>按有关部门制订的收费标准执行</t>
  </si>
  <si>
    <t>鉴别经济案件证据，经济案件审计公证</t>
  </si>
  <si>
    <r>
      <t>按案件金额的</t>
    </r>
    <r>
      <rPr>
        <sz val="10.5"/>
        <rFont val="Times New Roman"/>
        <family val="1"/>
      </rPr>
      <t>5%-20%</t>
    </r>
    <r>
      <rPr>
        <sz val="10.5"/>
        <rFont val="宋体"/>
        <family val="0"/>
      </rPr>
      <t>收费或与委托方商定</t>
    </r>
  </si>
  <si>
    <t>基建预、决算审计</t>
  </si>
  <si>
    <r>
      <t>按工程预算的</t>
    </r>
    <r>
      <rPr>
        <sz val="10.5"/>
        <rFont val="Times New Roman"/>
        <family val="1"/>
      </rPr>
      <t>3-5</t>
    </r>
    <r>
      <rPr>
        <sz val="10.5"/>
        <rFont val="宋体"/>
        <family val="0"/>
      </rPr>
      <t>‰；工程决算审计按核减额的</t>
    </r>
    <r>
      <rPr>
        <sz val="10.5"/>
        <rFont val="Times New Roman"/>
        <family val="1"/>
      </rPr>
      <t>10-15%</t>
    </r>
    <r>
      <rPr>
        <sz val="10.5"/>
        <rFont val="宋体"/>
        <family val="0"/>
      </rPr>
      <t>收费或与委托方商定，但最低不少于</t>
    </r>
    <r>
      <rPr>
        <sz val="10.5"/>
        <rFont val="Times New Roman"/>
        <family val="1"/>
      </rPr>
      <t>3000</t>
    </r>
    <r>
      <rPr>
        <sz val="10.5"/>
        <rFont val="宋体"/>
        <family val="0"/>
      </rPr>
      <t>元</t>
    </r>
  </si>
  <si>
    <t>代理申报纳税</t>
  </si>
  <si>
    <r>
      <t>按纳税额的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‰计算</t>
    </r>
  </si>
  <si>
    <r>
      <t>所长、副所长</t>
    </r>
    <r>
      <rPr>
        <sz val="10.5"/>
        <rFont val="Times New Roman"/>
        <family val="1"/>
      </rPr>
      <t>[</t>
    </r>
    <r>
      <rPr>
        <sz val="10.5"/>
        <rFont val="宋体"/>
        <family val="0"/>
      </rPr>
      <t>高级审计师、高级会计师</t>
    </r>
    <r>
      <rPr>
        <sz val="10.5"/>
        <rFont val="Times New Roman"/>
        <family val="1"/>
      </rPr>
      <t>]</t>
    </r>
  </si>
  <si>
    <t>资产总额</t>
  </si>
  <si>
    <r>
      <t>6</t>
    </r>
    <r>
      <rPr>
        <sz val="12"/>
        <rFont val="宋体"/>
        <family val="0"/>
      </rPr>
      <t>亿</t>
    </r>
  </si>
  <si>
    <r>
      <t>7</t>
    </r>
    <r>
      <rPr>
        <sz val="12"/>
        <rFont val="宋体"/>
        <family val="0"/>
      </rPr>
      <t>亿</t>
    </r>
  </si>
  <si>
    <r>
      <t>8</t>
    </r>
    <r>
      <rPr>
        <sz val="12"/>
        <rFont val="宋体"/>
        <family val="0"/>
      </rPr>
      <t>亿</t>
    </r>
  </si>
  <si>
    <r>
      <t>9</t>
    </r>
    <r>
      <rPr>
        <sz val="12"/>
        <rFont val="宋体"/>
        <family val="0"/>
      </rPr>
      <t>亿</t>
    </r>
  </si>
  <si>
    <r>
      <t>10</t>
    </r>
    <r>
      <rPr>
        <sz val="12"/>
        <rFont val="宋体"/>
        <family val="0"/>
      </rPr>
      <t>亿</t>
    </r>
  </si>
  <si>
    <r>
      <t>根据京价（收）字</t>
    </r>
    <r>
      <rPr>
        <sz val="10.5"/>
        <rFont val="Times New Roman"/>
        <family val="1"/>
      </rPr>
      <t>[1996]</t>
    </r>
    <r>
      <rPr>
        <sz val="10.5"/>
        <rFont val="宋体"/>
        <family val="0"/>
      </rPr>
      <t>第</t>
    </r>
    <r>
      <rPr>
        <sz val="10.5"/>
        <rFont val="Times New Roman"/>
        <family val="1"/>
      </rPr>
      <t>260</t>
    </r>
    <r>
      <rPr>
        <sz val="10.5"/>
        <rFont val="宋体"/>
        <family val="0"/>
      </rPr>
      <t>号文件、价费字</t>
    </r>
    <r>
      <rPr>
        <sz val="10.5"/>
        <rFont val="Times New Roman"/>
        <family val="1"/>
      </rPr>
      <t>[1992]625</t>
    </r>
    <r>
      <rPr>
        <sz val="10.5"/>
        <rFont val="宋体"/>
        <family val="0"/>
      </rPr>
      <t>号文件制定</t>
    </r>
    <r>
      <rPr>
        <sz val="10.5"/>
        <rFont val="Times New Roman"/>
        <family val="1"/>
      </rPr>
      <t xml:space="preserve">                                                            </t>
    </r>
  </si>
  <si>
    <t>收费单位：人民币元</t>
  </si>
  <si>
    <r>
      <t>100</t>
    </r>
    <r>
      <rPr>
        <sz val="12"/>
        <rFont val="宋体"/>
        <family val="0"/>
      </rPr>
      <t>万</t>
    </r>
  </si>
  <si>
    <r>
      <t>200</t>
    </r>
    <r>
      <rPr>
        <sz val="12"/>
        <rFont val="宋体"/>
        <family val="0"/>
      </rPr>
      <t>万</t>
    </r>
  </si>
  <si>
    <r>
      <t>3000</t>
    </r>
    <r>
      <rPr>
        <sz val="12"/>
        <rFont val="宋体"/>
        <family val="0"/>
      </rPr>
      <t>万</t>
    </r>
  </si>
  <si>
    <r>
      <t>4000</t>
    </r>
    <r>
      <rPr>
        <sz val="12"/>
        <rFont val="宋体"/>
        <family val="0"/>
      </rPr>
      <t>万</t>
    </r>
  </si>
  <si>
    <r>
      <t>5000</t>
    </r>
    <r>
      <rPr>
        <sz val="12"/>
        <rFont val="宋体"/>
        <family val="0"/>
      </rPr>
      <t>万</t>
    </r>
  </si>
  <si>
    <r>
      <t>6000</t>
    </r>
    <r>
      <rPr>
        <sz val="12"/>
        <rFont val="宋体"/>
        <family val="0"/>
      </rPr>
      <t>万</t>
    </r>
  </si>
  <si>
    <r>
      <t>7000</t>
    </r>
    <r>
      <rPr>
        <sz val="12"/>
        <rFont val="宋体"/>
        <family val="0"/>
      </rPr>
      <t>万</t>
    </r>
  </si>
  <si>
    <r>
      <t>8000</t>
    </r>
    <r>
      <rPr>
        <sz val="12"/>
        <rFont val="宋体"/>
        <family val="0"/>
      </rPr>
      <t>万</t>
    </r>
  </si>
  <si>
    <r>
      <t>9000</t>
    </r>
    <r>
      <rPr>
        <sz val="12"/>
        <rFont val="宋体"/>
        <family val="0"/>
      </rPr>
      <t>万</t>
    </r>
  </si>
  <si>
    <r>
      <t>1</t>
    </r>
    <r>
      <rPr>
        <sz val="12"/>
        <rFont val="宋体"/>
        <family val="0"/>
      </rPr>
      <t>亿</t>
    </r>
  </si>
  <si>
    <r>
      <t>3</t>
    </r>
    <r>
      <rPr>
        <sz val="12"/>
        <rFont val="宋体"/>
        <family val="0"/>
      </rPr>
      <t>亿</t>
    </r>
  </si>
  <si>
    <r>
      <t>4</t>
    </r>
    <r>
      <rPr>
        <sz val="12"/>
        <rFont val="宋体"/>
        <family val="0"/>
      </rPr>
      <t>亿</t>
    </r>
  </si>
  <si>
    <r>
      <t>5</t>
    </r>
    <r>
      <rPr>
        <sz val="12"/>
        <rFont val="宋体"/>
        <family val="0"/>
      </rPr>
      <t>亿</t>
    </r>
  </si>
  <si>
    <r>
      <t>300</t>
    </r>
    <r>
      <rPr>
        <sz val="12"/>
        <rFont val="宋体"/>
        <family val="0"/>
      </rPr>
      <t>万</t>
    </r>
  </si>
  <si>
    <r>
      <t>400</t>
    </r>
    <r>
      <rPr>
        <sz val="12"/>
        <rFont val="宋体"/>
        <family val="0"/>
      </rPr>
      <t>万</t>
    </r>
  </si>
  <si>
    <r>
      <t>500</t>
    </r>
    <r>
      <rPr>
        <sz val="12"/>
        <rFont val="宋体"/>
        <family val="0"/>
      </rPr>
      <t>万</t>
    </r>
  </si>
  <si>
    <r>
      <t>600</t>
    </r>
    <r>
      <rPr>
        <sz val="12"/>
        <rFont val="宋体"/>
        <family val="0"/>
      </rPr>
      <t>万</t>
    </r>
  </si>
  <si>
    <r>
      <t>700</t>
    </r>
    <r>
      <rPr>
        <sz val="12"/>
        <rFont val="宋体"/>
        <family val="0"/>
      </rPr>
      <t>万</t>
    </r>
  </si>
  <si>
    <r>
      <t>800</t>
    </r>
    <r>
      <rPr>
        <sz val="12"/>
        <rFont val="宋体"/>
        <family val="0"/>
      </rPr>
      <t>万</t>
    </r>
  </si>
  <si>
    <r>
      <t>900</t>
    </r>
    <r>
      <rPr>
        <sz val="12"/>
        <rFont val="宋体"/>
        <family val="0"/>
      </rPr>
      <t>万</t>
    </r>
  </si>
  <si>
    <r>
      <t>1000</t>
    </r>
    <r>
      <rPr>
        <sz val="12"/>
        <rFont val="宋体"/>
        <family val="0"/>
      </rPr>
      <t>万</t>
    </r>
  </si>
  <si>
    <r>
      <t>2000</t>
    </r>
    <r>
      <rPr>
        <sz val="12"/>
        <rFont val="宋体"/>
        <family val="0"/>
      </rPr>
      <t>万</t>
    </r>
  </si>
  <si>
    <r>
      <t>2</t>
    </r>
    <r>
      <rPr>
        <sz val="12"/>
        <rFont val="宋体"/>
        <family val="0"/>
      </rPr>
      <t>亿</t>
    </r>
  </si>
  <si>
    <r>
      <t>注：</t>
    </r>
    <r>
      <rPr>
        <sz val="12"/>
        <rFont val="Times New Roman"/>
        <family val="1"/>
      </rPr>
      <t xml:space="preserve">1. </t>
    </r>
    <r>
      <rPr>
        <sz val="12"/>
        <rFont val="宋体"/>
        <family val="0"/>
      </rPr>
      <t>股份制企业收费标准按表列标准适当提高</t>
    </r>
    <r>
      <rPr>
        <sz val="12"/>
        <rFont val="Times New Roman"/>
        <family val="1"/>
      </rPr>
      <t>70%</t>
    </r>
    <r>
      <rPr>
        <sz val="12"/>
        <rFont val="宋体"/>
        <family val="0"/>
      </rPr>
      <t>；</t>
    </r>
  </si>
  <si>
    <r>
      <t xml:space="preserve">       2. 50</t>
    </r>
    <r>
      <rPr>
        <sz val="12"/>
        <rFont val="宋体"/>
        <family val="0"/>
      </rPr>
      <t>万元以下的验证资本，收费由会计师事务所酌定，但最低不少于</t>
    </r>
    <r>
      <rPr>
        <sz val="12"/>
        <rFont val="Times New Roman"/>
        <family val="1"/>
      </rPr>
      <t>500</t>
    </r>
    <r>
      <rPr>
        <sz val="12"/>
        <rFont val="宋体"/>
        <family val="0"/>
      </rPr>
      <t>元。</t>
    </r>
  </si>
  <si>
    <r>
      <t>北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京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地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区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会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计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师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事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务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所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执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业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收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费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标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准</t>
    </r>
  </si>
  <si>
    <r>
      <t xml:space="preserve">        2. 50</t>
    </r>
    <r>
      <rPr>
        <sz val="12"/>
        <rFont val="宋体"/>
        <family val="0"/>
      </rPr>
      <t>万元以下的验证资本，收费由会计师事务所酌定，但最低不少于</t>
    </r>
    <r>
      <rPr>
        <sz val="12"/>
        <rFont val="Times New Roman"/>
        <family val="1"/>
      </rPr>
      <t>500</t>
    </r>
    <r>
      <rPr>
        <sz val="12"/>
        <rFont val="宋体"/>
        <family val="0"/>
      </rPr>
      <t>元。</t>
    </r>
  </si>
  <si>
    <r>
      <t xml:space="preserve">       </t>
    </r>
    <r>
      <rPr>
        <vertAlign val="superscript"/>
        <sz val="11"/>
        <rFont val="宋体"/>
        <family val="0"/>
      </rPr>
      <t>项目</t>
    </r>
  </si>
  <si>
    <r>
      <t>项目</t>
    </r>
    <r>
      <rPr>
        <sz val="10.5"/>
        <rFont val="宋体"/>
        <family val="0"/>
      </rPr>
      <t>收费依据</t>
    </r>
  </si>
  <si>
    <t>输入：企业资产总额</t>
  </si>
  <si>
    <t>自动生成：        应收审计费金额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</si>
</sst>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#,##0.00_ "/>
    <numFmt numFmtId="180" formatCode="_ * #,##0.0_ ;_ * \-#,##0.0_ ;_ * &quot;-&quot;??_ ;_ @_ "/>
    <numFmt numFmtId="181" formatCode="_ * #,##0_ ;_ * \-#,##0_ ;_ * &quot;-&quot;??_ ;_ @_ "/>
  </numFmts>
  <fonts count="13">
    <font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6"/>
      <name val="黑体"/>
      <family val="0"/>
    </font>
    <font>
      <b/>
      <sz val="16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name val="宋体"/>
      <family val="0"/>
    </font>
    <font>
      <vertAlign val="subscript"/>
      <sz val="11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right" vertical="center" wrapText="1"/>
    </xf>
    <xf numFmtId="179" fontId="0" fillId="0" borderId="0" xfId="0" applyNumberFormat="1" applyAlignment="1">
      <alignment vertical="center"/>
    </xf>
    <xf numFmtId="17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9" fontId="0" fillId="0" borderId="0" xfId="0" applyNumberForma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0" fontId="9" fillId="0" borderId="7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181" fontId="4" fillId="0" borderId="1" xfId="18" applyNumberFormat="1" applyFont="1" applyBorder="1" applyAlignment="1">
      <alignment horizontal="left" vertical="center"/>
    </xf>
    <xf numFmtId="43" fontId="0" fillId="0" borderId="1" xfId="18" applyBorder="1" applyAlignment="1">
      <alignment vertical="center"/>
    </xf>
    <xf numFmtId="43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right" vertical="center" wrapText="1"/>
    </xf>
    <xf numFmtId="179" fontId="5" fillId="2" borderId="1" xfId="0" applyNumberFormat="1" applyFont="1" applyFill="1" applyBorder="1" applyAlignment="1">
      <alignment vertical="center"/>
    </xf>
    <xf numFmtId="43" fontId="0" fillId="2" borderId="1" xfId="18" applyFill="1" applyBorder="1" applyAlignment="1">
      <alignment vertical="center"/>
    </xf>
    <xf numFmtId="43" fontId="12" fillId="0" borderId="0" xfId="18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79" fontId="2" fillId="0" borderId="7" xfId="0" applyNumberFormat="1" applyFont="1" applyBorder="1" applyAlignment="1">
      <alignment horizontal="center" vertical="center" wrapText="1"/>
    </xf>
    <xf numFmtId="179" fontId="2" fillId="0" borderId="3" xfId="0" applyNumberFormat="1" applyFont="1" applyBorder="1" applyAlignment="1">
      <alignment horizontal="center" vertical="center" wrapText="1"/>
    </xf>
    <xf numFmtId="179" fontId="0" fillId="0" borderId="7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0</xdr:col>
      <xdr:colOff>523875</xdr:colOff>
      <xdr:row>2</xdr:row>
      <xdr:rowOff>266700</xdr:rowOff>
    </xdr:to>
    <xdr:sp>
      <xdr:nvSpPr>
        <xdr:cNvPr id="1" name="Line 2"/>
        <xdr:cNvSpPr>
          <a:spLocks/>
        </xdr:cNvSpPr>
      </xdr:nvSpPr>
      <xdr:spPr>
        <a:xfrm>
          <a:off x="28575" y="361950"/>
          <a:ext cx="495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30" sqref="C30"/>
    </sheetView>
  </sheetViews>
  <sheetFormatPr defaultColWidth="9.00390625" defaultRowHeight="14.25"/>
  <cols>
    <col min="1" max="1" width="3.25390625" style="3" customWidth="1"/>
    <col min="2" max="2" width="16.625" style="3" customWidth="1"/>
    <col min="3" max="3" width="13.625" style="3" customWidth="1"/>
    <col min="4" max="4" width="14.375" style="3" customWidth="1"/>
    <col min="5" max="5" width="13.375" style="3" customWidth="1"/>
    <col min="6" max="6" width="20.125" style="3" customWidth="1"/>
    <col min="7" max="7" width="6.50390625" style="3" customWidth="1"/>
    <col min="8" max="8" width="15.125" style="15" customWidth="1"/>
    <col min="9" max="9" width="14.75390625" style="3" customWidth="1"/>
    <col min="10" max="10" width="13.875" style="3" bestFit="1" customWidth="1"/>
    <col min="11" max="16384" width="9.00390625" style="3" customWidth="1"/>
  </cols>
  <sheetData>
    <row r="1" spans="1:9" ht="21">
      <c r="A1" s="38" t="s">
        <v>79</v>
      </c>
      <c r="B1" s="20"/>
      <c r="C1" s="20"/>
      <c r="D1" s="20"/>
      <c r="E1" s="20"/>
      <c r="F1" s="20"/>
      <c r="G1" s="20"/>
      <c r="H1" s="21"/>
      <c r="I1" s="20"/>
    </row>
    <row r="2" spans="1:9" ht="18.75" customHeight="1">
      <c r="A2" s="1" t="s">
        <v>52</v>
      </c>
      <c r="I2" s="22" t="s">
        <v>53</v>
      </c>
    </row>
    <row r="3" spans="1:9" ht="18" customHeight="1">
      <c r="A3" s="51" t="s">
        <v>0</v>
      </c>
      <c r="B3" s="65" t="s">
        <v>82</v>
      </c>
      <c r="C3" s="53" t="s">
        <v>1</v>
      </c>
      <c r="D3" s="53"/>
      <c r="E3" s="53"/>
      <c r="F3" s="54" t="s">
        <v>2</v>
      </c>
      <c r="G3" s="55"/>
      <c r="H3" s="66" t="s">
        <v>83</v>
      </c>
      <c r="I3" s="51" t="s">
        <v>84</v>
      </c>
    </row>
    <row r="4" spans="1:9" ht="18" customHeight="1">
      <c r="A4" s="52"/>
      <c r="B4" s="65"/>
      <c r="C4" s="4" t="s">
        <v>4</v>
      </c>
      <c r="D4" s="4" t="s">
        <v>5</v>
      </c>
      <c r="E4" s="11" t="s">
        <v>6</v>
      </c>
      <c r="F4" s="56" t="s">
        <v>3</v>
      </c>
      <c r="G4" s="57"/>
      <c r="H4" s="67"/>
      <c r="I4" s="52"/>
    </row>
    <row r="5" spans="1:10" ht="27.75" customHeight="1">
      <c r="A5" s="5">
        <v>1</v>
      </c>
      <c r="B5" s="6" t="s">
        <v>7</v>
      </c>
      <c r="C5" s="7" t="s">
        <v>8</v>
      </c>
      <c r="D5" s="7" t="s">
        <v>9</v>
      </c>
      <c r="E5" s="7" t="s">
        <v>10</v>
      </c>
      <c r="F5" s="13" t="s">
        <v>45</v>
      </c>
      <c r="G5" s="14" t="s">
        <v>11</v>
      </c>
      <c r="H5" s="48"/>
      <c r="I5" s="42">
        <f>IF(H5&lt;10000000,H5*0.0025,IF(H5&lt;100000000,10000000*0.0025+(H5-10000000)*0.00012,10000000*0.0025+90000000*0.00012+(H5-100000000)*0.0001))</f>
        <v>0</v>
      </c>
      <c r="J5" s="43"/>
    </row>
    <row r="6" spans="1:9" s="8" customFormat="1" ht="27.75" customHeight="1">
      <c r="A6" s="44">
        <v>2</v>
      </c>
      <c r="B6" s="45" t="s">
        <v>12</v>
      </c>
      <c r="C6" s="44" t="s">
        <v>13</v>
      </c>
      <c r="D6" s="44" t="s">
        <v>10</v>
      </c>
      <c r="E6" s="44" t="s">
        <v>14</v>
      </c>
      <c r="F6" s="46" t="s">
        <v>15</v>
      </c>
      <c r="G6" s="47" t="s">
        <v>16</v>
      </c>
      <c r="H6" s="48"/>
      <c r="I6" s="49">
        <f>IF(H6&lt;10000000,H6*0.002,IF(H6&lt;100000000,10000000*0.002+(H6-10000000)*0.0001,10000000*0.002+90000000*0.0001+(H6-100000000)*0.00008))</f>
        <v>0</v>
      </c>
    </row>
    <row r="7" spans="1:9" ht="27.75" customHeight="1">
      <c r="A7" s="9">
        <v>3</v>
      </c>
      <c r="B7" s="10" t="s">
        <v>17</v>
      </c>
      <c r="C7" s="2" t="s">
        <v>13</v>
      </c>
      <c r="D7" s="2" t="s">
        <v>10</v>
      </c>
      <c r="E7" s="2" t="s">
        <v>14</v>
      </c>
      <c r="F7" s="13" t="s">
        <v>18</v>
      </c>
      <c r="G7" s="14" t="s">
        <v>19</v>
      </c>
      <c r="H7" s="16"/>
      <c r="I7" s="17">
        <f>IF(H7&lt;10000000,H7*0.002,IF(H7&lt;100000000,10000000*0.002+(H7-10000000)*0.0001,10000000*0.002+90000000*0.0001+(H7-100000000)*0.00008))</f>
        <v>0</v>
      </c>
    </row>
    <row r="8" spans="1:9" ht="25.5" customHeight="1">
      <c r="A8" s="58">
        <v>4</v>
      </c>
      <c r="B8" s="60" t="s">
        <v>20</v>
      </c>
      <c r="C8" s="51" t="s">
        <v>13</v>
      </c>
      <c r="D8" s="51" t="s">
        <v>21</v>
      </c>
      <c r="E8" s="51" t="s">
        <v>22</v>
      </c>
      <c r="F8" s="13" t="s">
        <v>23</v>
      </c>
      <c r="G8" s="14" t="s">
        <v>25</v>
      </c>
      <c r="H8" s="68"/>
      <c r="I8" s="70">
        <f>IF(H8&lt;10000000,H8*0.002,IF(H8&lt;100000000,10000000*0.002+(H8-10000000)*0.00005,10000000*0.002+90000000*0.00005+(H8-100000000)*0.00003))</f>
        <v>0</v>
      </c>
    </row>
    <row r="9" spans="1:9" ht="25.5" customHeight="1">
      <c r="A9" s="59"/>
      <c r="B9" s="61"/>
      <c r="C9" s="52"/>
      <c r="D9" s="52"/>
      <c r="E9" s="52"/>
      <c r="F9" s="13" t="s">
        <v>24</v>
      </c>
      <c r="G9" s="14" t="s">
        <v>26</v>
      </c>
      <c r="H9" s="69"/>
      <c r="I9" s="70"/>
    </row>
    <row r="10" spans="1:9" ht="29.25" customHeight="1">
      <c r="A10" s="5">
        <v>5</v>
      </c>
      <c r="B10" s="6" t="s">
        <v>27</v>
      </c>
      <c r="C10" s="7" t="s">
        <v>13</v>
      </c>
      <c r="D10" s="7" t="s">
        <v>21</v>
      </c>
      <c r="E10" s="7" t="s">
        <v>22</v>
      </c>
      <c r="F10" s="13" t="s">
        <v>28</v>
      </c>
      <c r="G10" s="14" t="s">
        <v>29</v>
      </c>
      <c r="H10" s="16"/>
      <c r="I10" s="17">
        <f>IF(H10&lt;10000000,H10*0.002,IF(H10&lt;100000000,10000000*0.002+(H10-10000000)*0.00005,10000000*0.002+90000000*0.00005+(H10-100000000)*0.00003))</f>
        <v>0</v>
      </c>
    </row>
    <row r="11" spans="1:9" ht="29.25" customHeight="1">
      <c r="A11" s="5">
        <v>6</v>
      </c>
      <c r="B11" s="6" t="s">
        <v>30</v>
      </c>
      <c r="C11" s="7" t="s">
        <v>31</v>
      </c>
      <c r="D11" s="7" t="s">
        <v>10</v>
      </c>
      <c r="E11" s="7" t="s">
        <v>14</v>
      </c>
      <c r="F11" s="11"/>
      <c r="G11" s="12"/>
      <c r="H11" s="16"/>
      <c r="I11" s="17">
        <f>IF(H11&lt;10000000,H11*0.0023,IF(H11&lt;100000000,10000000*0.0023+(H11-10000000)*0.0001,10000000*0.0023+90000000*0.0001+(H11-100000000)*0.00008))</f>
        <v>0</v>
      </c>
    </row>
    <row r="12" spans="1:9" ht="23.25" customHeight="1">
      <c r="A12" s="5">
        <v>7</v>
      </c>
      <c r="B12" s="6" t="s">
        <v>32</v>
      </c>
      <c r="C12" s="62" t="s">
        <v>33</v>
      </c>
      <c r="D12" s="63"/>
      <c r="E12" s="63"/>
      <c r="F12" s="63"/>
      <c r="G12" s="64"/>
      <c r="H12" s="16"/>
      <c r="I12" s="17"/>
    </row>
    <row r="13" spans="1:9" ht="23.25" customHeight="1">
      <c r="A13" s="5">
        <v>8</v>
      </c>
      <c r="B13" s="6" t="s">
        <v>34</v>
      </c>
      <c r="C13" s="62" t="s">
        <v>33</v>
      </c>
      <c r="D13" s="63"/>
      <c r="E13" s="63"/>
      <c r="F13" s="63"/>
      <c r="G13" s="64"/>
      <c r="H13" s="16"/>
      <c r="I13" s="17"/>
    </row>
    <row r="14" spans="1:9" ht="23.25" customHeight="1">
      <c r="A14" s="5">
        <v>9</v>
      </c>
      <c r="B14" s="6" t="s">
        <v>35</v>
      </c>
      <c r="C14" s="62" t="s">
        <v>36</v>
      </c>
      <c r="D14" s="63"/>
      <c r="E14" s="63"/>
      <c r="F14" s="63"/>
      <c r="G14" s="64"/>
      <c r="H14" s="16"/>
      <c r="I14" s="17"/>
    </row>
    <row r="15" spans="1:9" ht="23.25" customHeight="1">
      <c r="A15" s="5">
        <v>10</v>
      </c>
      <c r="B15" s="6" t="s">
        <v>37</v>
      </c>
      <c r="C15" s="62" t="s">
        <v>38</v>
      </c>
      <c r="D15" s="63"/>
      <c r="E15" s="63"/>
      <c r="F15" s="63"/>
      <c r="G15" s="64"/>
      <c r="H15" s="16"/>
      <c r="I15" s="41"/>
    </row>
    <row r="16" spans="1:9" ht="27" customHeight="1">
      <c r="A16" s="5">
        <v>11</v>
      </c>
      <c r="B16" s="6" t="s">
        <v>39</v>
      </c>
      <c r="C16" s="62" t="s">
        <v>40</v>
      </c>
      <c r="D16" s="63"/>
      <c r="E16" s="63"/>
      <c r="F16" s="63"/>
      <c r="G16" s="64"/>
      <c r="H16" s="16"/>
      <c r="I16" s="17"/>
    </row>
    <row r="17" spans="1:9" ht="27" customHeight="1">
      <c r="A17" s="5">
        <v>12</v>
      </c>
      <c r="B17" s="6" t="s">
        <v>41</v>
      </c>
      <c r="C17" s="62" t="s">
        <v>42</v>
      </c>
      <c r="D17" s="63"/>
      <c r="E17" s="63"/>
      <c r="F17" s="63"/>
      <c r="G17" s="64"/>
      <c r="H17" s="16"/>
      <c r="I17" s="17"/>
    </row>
    <row r="18" spans="1:9" ht="24" customHeight="1">
      <c r="A18" s="5">
        <v>13</v>
      </c>
      <c r="B18" s="6" t="s">
        <v>43</v>
      </c>
      <c r="C18" s="62" t="s">
        <v>44</v>
      </c>
      <c r="D18" s="63"/>
      <c r="E18" s="63"/>
      <c r="F18" s="63"/>
      <c r="G18" s="64"/>
      <c r="H18" s="16"/>
      <c r="I18" s="17"/>
    </row>
    <row r="19" spans="1:8" s="23" customFormat="1" ht="15.75">
      <c r="A19" s="23" t="s">
        <v>77</v>
      </c>
      <c r="B19" s="24"/>
      <c r="C19" s="24"/>
      <c r="D19" s="24"/>
      <c r="E19" s="24"/>
      <c r="F19" s="24"/>
      <c r="G19" s="24"/>
      <c r="H19" s="24"/>
    </row>
    <row r="20" spans="1:8" s="26" customFormat="1" ht="15.75">
      <c r="A20" s="18" t="s">
        <v>80</v>
      </c>
      <c r="B20" s="25"/>
      <c r="C20" s="25"/>
      <c r="D20" s="25"/>
      <c r="E20" s="25"/>
      <c r="F20" s="25"/>
      <c r="G20" s="25"/>
      <c r="H20" s="25"/>
    </row>
    <row r="22" ht="14.25">
      <c r="B22" s="50"/>
    </row>
  </sheetData>
  <mergeCells count="21">
    <mergeCell ref="H3:H4"/>
    <mergeCell ref="I3:I4"/>
    <mergeCell ref="H8:H9"/>
    <mergeCell ref="I8:I9"/>
    <mergeCell ref="C16:G16"/>
    <mergeCell ref="C17:G17"/>
    <mergeCell ref="C18:G18"/>
    <mergeCell ref="B3:B4"/>
    <mergeCell ref="C12:G12"/>
    <mergeCell ref="C13:G13"/>
    <mergeCell ref="C14:G14"/>
    <mergeCell ref="C15:G15"/>
    <mergeCell ref="E8:E9"/>
    <mergeCell ref="A8:A9"/>
    <mergeCell ref="B8:B9"/>
    <mergeCell ref="C8:C9"/>
    <mergeCell ref="D8:D9"/>
    <mergeCell ref="A3:A4"/>
    <mergeCell ref="C3:E3"/>
    <mergeCell ref="F3:G3"/>
    <mergeCell ref="F4:G4"/>
  </mergeCells>
  <printOptions/>
  <pageMargins left="0.51" right="0.58" top="0.49" bottom="0.54" header="0.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I28" sqref="I28"/>
    </sheetView>
  </sheetViews>
  <sheetFormatPr defaultColWidth="9.00390625" defaultRowHeight="14.25"/>
  <cols>
    <col min="1" max="1" width="6.875" style="28" customWidth="1"/>
    <col min="2" max="2" width="11.00390625" style="32" customWidth="1"/>
    <col min="3" max="3" width="10.75390625" style="32" customWidth="1"/>
    <col min="4" max="5" width="11.125" style="32" customWidth="1"/>
    <col min="6" max="6" width="11.375" style="32" customWidth="1"/>
    <col min="7" max="7" width="12.50390625" style="32" customWidth="1"/>
    <col min="8" max="8" width="12.75390625" style="32" customWidth="1"/>
    <col min="9" max="16384" width="9.00390625" style="28" customWidth="1"/>
  </cols>
  <sheetData>
    <row r="1" spans="1:8" ht="27.75" customHeight="1">
      <c r="A1" s="27" t="s">
        <v>79</v>
      </c>
      <c r="B1" s="19"/>
      <c r="C1" s="19"/>
      <c r="D1" s="19"/>
      <c r="E1" s="19"/>
      <c r="F1" s="19"/>
      <c r="G1" s="19"/>
      <c r="H1" s="19"/>
    </row>
    <row r="2" spans="1:8" s="29" customFormat="1" ht="23.25" customHeight="1">
      <c r="A2" s="39" t="s">
        <v>81</v>
      </c>
      <c r="B2" s="73" t="s">
        <v>37</v>
      </c>
      <c r="C2" s="71" t="s">
        <v>7</v>
      </c>
      <c r="D2" s="71" t="s">
        <v>12</v>
      </c>
      <c r="E2" s="71" t="s">
        <v>17</v>
      </c>
      <c r="F2" s="71" t="s">
        <v>20</v>
      </c>
      <c r="G2" s="71" t="s">
        <v>27</v>
      </c>
      <c r="H2" s="71" t="s">
        <v>30</v>
      </c>
    </row>
    <row r="3" spans="1:8" s="29" customFormat="1" ht="23.25" customHeight="1">
      <c r="A3" s="40" t="s">
        <v>46</v>
      </c>
      <c r="B3" s="74"/>
      <c r="C3" s="72"/>
      <c r="D3" s="72"/>
      <c r="E3" s="72"/>
      <c r="F3" s="72"/>
      <c r="G3" s="72"/>
      <c r="H3" s="72"/>
    </row>
    <row r="4" spans="1:8" ht="20.25" customHeight="1">
      <c r="A4" s="30" t="s">
        <v>54</v>
      </c>
      <c r="B4" s="41">
        <f>1000000*0.006</f>
        <v>6000</v>
      </c>
      <c r="C4" s="41">
        <f>1000000*0.0025</f>
        <v>2500</v>
      </c>
      <c r="D4" s="41">
        <f>1000000*0.002</f>
        <v>2000</v>
      </c>
      <c r="E4" s="41">
        <f>1000000*0.002</f>
        <v>2000</v>
      </c>
      <c r="F4" s="41">
        <f>1000000*0.002</f>
        <v>2000</v>
      </c>
      <c r="G4" s="41">
        <f>1000000*0.002</f>
        <v>2000</v>
      </c>
      <c r="H4" s="41">
        <f>1000000*0.0023</f>
        <v>2300</v>
      </c>
    </row>
    <row r="5" spans="1:8" ht="20.25" customHeight="1">
      <c r="A5" s="31" t="s">
        <v>55</v>
      </c>
      <c r="B5" s="41">
        <f>1000000*0.006+(2000000-1000000)*0.0025</f>
        <v>8500</v>
      </c>
      <c r="C5" s="41">
        <f>2000000*0.0025</f>
        <v>5000</v>
      </c>
      <c r="D5" s="41">
        <f>2000000*0.002</f>
        <v>4000</v>
      </c>
      <c r="E5" s="41">
        <f>2000000*0.002</f>
        <v>4000</v>
      </c>
      <c r="F5" s="41">
        <f>2000000*0.002</f>
        <v>4000</v>
      </c>
      <c r="G5" s="41">
        <f>2000000*0.002</f>
        <v>4000</v>
      </c>
      <c r="H5" s="41">
        <f>2000000*0.0023</f>
        <v>4600</v>
      </c>
    </row>
    <row r="6" spans="1:8" ht="20.25" customHeight="1">
      <c r="A6" s="31" t="s">
        <v>67</v>
      </c>
      <c r="B6" s="41">
        <f>1000000*0.006+(3000000-1000000)*0.0025</f>
        <v>11000</v>
      </c>
      <c r="C6" s="41">
        <f>3000000*0.0025</f>
        <v>7500</v>
      </c>
      <c r="D6" s="41">
        <f>3000000*0.002</f>
        <v>6000</v>
      </c>
      <c r="E6" s="41">
        <f>3000000*0.002</f>
        <v>6000</v>
      </c>
      <c r="F6" s="41">
        <f>3000000*0.002</f>
        <v>6000</v>
      </c>
      <c r="G6" s="41">
        <f>3000000*0.002</f>
        <v>6000</v>
      </c>
      <c r="H6" s="41">
        <f>3000000*0.0023</f>
        <v>6900</v>
      </c>
    </row>
    <row r="7" spans="1:8" ht="20.25" customHeight="1">
      <c r="A7" s="31" t="s">
        <v>68</v>
      </c>
      <c r="B7" s="41">
        <f>1000000*0.006+(4000000-1000000)*0.0025</f>
        <v>13500</v>
      </c>
      <c r="C7" s="41">
        <f>4000000*0.0025</f>
        <v>10000</v>
      </c>
      <c r="D7" s="41">
        <f>4000000*0.002</f>
        <v>8000</v>
      </c>
      <c r="E7" s="41">
        <f>4000000*0.002</f>
        <v>8000</v>
      </c>
      <c r="F7" s="41">
        <f>4000000*0.002</f>
        <v>8000</v>
      </c>
      <c r="G7" s="41">
        <f>4000000*0.002</f>
        <v>8000</v>
      </c>
      <c r="H7" s="41">
        <f>4000000*0.0023</f>
        <v>9200</v>
      </c>
    </row>
    <row r="8" spans="1:8" ht="20.25" customHeight="1">
      <c r="A8" s="31" t="s">
        <v>69</v>
      </c>
      <c r="B8" s="41">
        <f>1000000*0.006+(5000000-1000000)*0.0025</f>
        <v>16000</v>
      </c>
      <c r="C8" s="41">
        <f>5000000*0.0025</f>
        <v>12500</v>
      </c>
      <c r="D8" s="41">
        <f>5000000*0.002</f>
        <v>10000</v>
      </c>
      <c r="E8" s="41">
        <f>5000000*0.002</f>
        <v>10000</v>
      </c>
      <c r="F8" s="41">
        <f>5000000*0.002</f>
        <v>10000</v>
      </c>
      <c r="G8" s="41">
        <f>5000000*0.002</f>
        <v>10000</v>
      </c>
      <c r="H8" s="41">
        <f>5000000*0.0023</f>
        <v>11500</v>
      </c>
    </row>
    <row r="9" spans="1:8" ht="20.25" customHeight="1">
      <c r="A9" s="31" t="s">
        <v>70</v>
      </c>
      <c r="B9" s="41">
        <f>1000000*0.006+(6000000-1000000)*0.0025</f>
        <v>18500</v>
      </c>
      <c r="C9" s="41">
        <f>6000000*0.0025</f>
        <v>15000</v>
      </c>
      <c r="D9" s="41">
        <f>6000000*0.002</f>
        <v>12000</v>
      </c>
      <c r="E9" s="41">
        <f>6000000*0.002</f>
        <v>12000</v>
      </c>
      <c r="F9" s="41">
        <f>6000000*0.002</f>
        <v>12000</v>
      </c>
      <c r="G9" s="41">
        <f>6000000*0.002</f>
        <v>12000</v>
      </c>
      <c r="H9" s="41">
        <f>6000000*0.0023</f>
        <v>13800</v>
      </c>
    </row>
    <row r="10" spans="1:8" ht="20.25" customHeight="1">
      <c r="A10" s="31" t="s">
        <v>71</v>
      </c>
      <c r="B10" s="41">
        <f>1000000*0.006+(7000000-1000000)*0.0025</f>
        <v>21000</v>
      </c>
      <c r="C10" s="41">
        <f>7000000*0.0025</f>
        <v>17500</v>
      </c>
      <c r="D10" s="41">
        <f>7000000*0.002</f>
        <v>14000</v>
      </c>
      <c r="E10" s="41">
        <f>7000000*0.002</f>
        <v>14000</v>
      </c>
      <c r="F10" s="41">
        <f>7000000*0.002</f>
        <v>14000</v>
      </c>
      <c r="G10" s="41">
        <f>7000000*0.002</f>
        <v>14000</v>
      </c>
      <c r="H10" s="41">
        <f>7000000*0.0023</f>
        <v>16100</v>
      </c>
    </row>
    <row r="11" spans="1:8" ht="20.25" customHeight="1">
      <c r="A11" s="31" t="s">
        <v>72</v>
      </c>
      <c r="B11" s="41">
        <f>1000000*0.006+(8000000-1000000)*0.0025</f>
        <v>23500</v>
      </c>
      <c r="C11" s="41">
        <f>8000000*0.0025</f>
        <v>20000</v>
      </c>
      <c r="D11" s="41">
        <f>8000000*0.002</f>
        <v>16000</v>
      </c>
      <c r="E11" s="41">
        <f>8000000*0.002</f>
        <v>16000</v>
      </c>
      <c r="F11" s="41">
        <f>8000000*0.002</f>
        <v>16000</v>
      </c>
      <c r="G11" s="41">
        <f>8000000*0.002</f>
        <v>16000</v>
      </c>
      <c r="H11" s="41">
        <f>8000000*0.0023</f>
        <v>18400</v>
      </c>
    </row>
    <row r="12" spans="1:8" ht="20.25" customHeight="1">
      <c r="A12" s="31" t="s">
        <v>73</v>
      </c>
      <c r="B12" s="41">
        <f>1000000*0.006+(9000000-1000000)*0.0025</f>
        <v>26000</v>
      </c>
      <c r="C12" s="41">
        <f>9000000*0.0025</f>
        <v>22500</v>
      </c>
      <c r="D12" s="41">
        <f>9000000*0.002</f>
        <v>18000</v>
      </c>
      <c r="E12" s="41">
        <f>9000000*0.002</f>
        <v>18000</v>
      </c>
      <c r="F12" s="41">
        <f>9000000*0.002</f>
        <v>18000</v>
      </c>
      <c r="G12" s="41">
        <f>9000000*0.002</f>
        <v>18000</v>
      </c>
      <c r="H12" s="41">
        <f>9000000*0.0023</f>
        <v>20700</v>
      </c>
    </row>
    <row r="13" spans="1:8" ht="20.25" customHeight="1">
      <c r="A13" s="31" t="s">
        <v>74</v>
      </c>
      <c r="B13" s="41">
        <f>1000000*0.006+(10000000-1000000)*0.0025</f>
        <v>28500</v>
      </c>
      <c r="C13" s="41">
        <f>10000000*0.0025</f>
        <v>25000</v>
      </c>
      <c r="D13" s="41">
        <f>10000000*0.002</f>
        <v>20000</v>
      </c>
      <c r="E13" s="41">
        <f>10000000*0.002</f>
        <v>20000</v>
      </c>
      <c r="F13" s="41">
        <f>10000000*0.002</f>
        <v>20000</v>
      </c>
      <c r="G13" s="41">
        <f>10000000*0.002</f>
        <v>20000</v>
      </c>
      <c r="H13" s="41">
        <f>10000000*0.0023</f>
        <v>23000</v>
      </c>
    </row>
    <row r="14" spans="1:8" ht="20.25" customHeight="1">
      <c r="A14" s="31" t="s">
        <v>75</v>
      </c>
      <c r="B14" s="41">
        <f>1000000*0.006+9000000*0.0025+(20000000-10000000)*0.0008</f>
        <v>36500</v>
      </c>
      <c r="C14" s="41">
        <f>10000000*0.0025+(20000000-10000000)*0.00012</f>
        <v>26200</v>
      </c>
      <c r="D14" s="41">
        <f>10000000*0.002+(20000000-10000000)*0.0001</f>
        <v>21000</v>
      </c>
      <c r="E14" s="41">
        <f>10000000*0.002+(20000000-10000000)*0.0001</f>
        <v>21000</v>
      </c>
      <c r="F14" s="41">
        <f>10000000*0.002+(20000000-10000000)*0.00005</f>
        <v>20500</v>
      </c>
      <c r="G14" s="41">
        <f>10000000*0.002+(20000000-10000000)*0.00005</f>
        <v>20500</v>
      </c>
      <c r="H14" s="41">
        <f>10000000*0.0023+(20000000-10000000)*0.0001</f>
        <v>24000</v>
      </c>
    </row>
    <row r="15" spans="1:8" ht="20.25" customHeight="1">
      <c r="A15" s="31" t="s">
        <v>56</v>
      </c>
      <c r="B15" s="41">
        <f>1000000*0.006+9000000*0.0025+(30000000-10000000)*0.0008</f>
        <v>44500</v>
      </c>
      <c r="C15" s="41">
        <f>10000000*0.0025+(30000000-10000000)*0.00012</f>
        <v>27400</v>
      </c>
      <c r="D15" s="41">
        <f>10000000*0.002+(30000000-10000000)*0.0001</f>
        <v>22000</v>
      </c>
      <c r="E15" s="41">
        <f>10000000*0.002+(30000000-10000000)*0.0001</f>
        <v>22000</v>
      </c>
      <c r="F15" s="41">
        <f>10000000*0.002+(30000000-10000000)*0.00005</f>
        <v>21000</v>
      </c>
      <c r="G15" s="41">
        <f>10000000*0.002+(30000000-10000000)*0.00005</f>
        <v>21000</v>
      </c>
      <c r="H15" s="41">
        <f>10000000*0.0023+(30000000-10000000)*0.0001</f>
        <v>25000</v>
      </c>
    </row>
    <row r="16" spans="1:8" ht="20.25" customHeight="1">
      <c r="A16" s="31" t="s">
        <v>57</v>
      </c>
      <c r="B16" s="41">
        <f>1000000*0.006+9000000*0.0025+(40000000-10000000)*0.0008</f>
        <v>52500</v>
      </c>
      <c r="C16" s="41">
        <f>10000000*0.0025+(40000000-10000000)*0.00012</f>
        <v>28600</v>
      </c>
      <c r="D16" s="41">
        <f>10000000*0.002+(40000000-10000000)*0.0001</f>
        <v>23000</v>
      </c>
      <c r="E16" s="41">
        <f>10000000*0.002+(40000000-10000000)*0.0001</f>
        <v>23000</v>
      </c>
      <c r="F16" s="41">
        <f>10000000*0.002+(40000000-10000000)*0.00005</f>
        <v>21500</v>
      </c>
      <c r="G16" s="41">
        <f>10000000*0.002+(40000000-10000000)*0.00005</f>
        <v>21500</v>
      </c>
      <c r="H16" s="41">
        <f>10000000*0.0023+(40000000-10000000)*0.0001</f>
        <v>26000</v>
      </c>
    </row>
    <row r="17" spans="1:8" ht="20.25" customHeight="1">
      <c r="A17" s="31" t="s">
        <v>58</v>
      </c>
      <c r="B17" s="41">
        <f>1000000*0.006+9000000*0.0025+(50000000-10000000)*0.0008</f>
        <v>60500</v>
      </c>
      <c r="C17" s="41">
        <f>10000000*0.0025+(50000000-10000000)*0.00012</f>
        <v>29800</v>
      </c>
      <c r="D17" s="41">
        <f>10000000*0.002+(50000000-10000000)*0.0001</f>
        <v>24000</v>
      </c>
      <c r="E17" s="41">
        <f>10000000*0.002+(50000000-10000000)*0.0001</f>
        <v>24000</v>
      </c>
      <c r="F17" s="41">
        <f>10000000*0.002+(50000000-10000000)*0.00005</f>
        <v>22000</v>
      </c>
      <c r="G17" s="41">
        <f>10000000*0.002+(50000000-10000000)*0.00005</f>
        <v>22000</v>
      </c>
      <c r="H17" s="41">
        <f>10000000*0.0023+(50000000-10000000)*0.0001</f>
        <v>27000</v>
      </c>
    </row>
    <row r="18" spans="1:8" ht="20.25" customHeight="1">
      <c r="A18" s="31" t="s">
        <v>59</v>
      </c>
      <c r="B18" s="41">
        <f>1000000*0.006+9000000*0.0025+40000000*0.0008+(60000000-50000000)*0.0005</f>
        <v>65500</v>
      </c>
      <c r="C18" s="41">
        <f>10000000*0.0025+(60000000-10000000)*0.00012</f>
        <v>31000</v>
      </c>
      <c r="D18" s="41">
        <f>10000000*0.002+(60000000-10000000)*0.0001</f>
        <v>25000</v>
      </c>
      <c r="E18" s="41">
        <f>10000000*0.002+(60000000-10000000)*0.0001</f>
        <v>25000</v>
      </c>
      <c r="F18" s="41">
        <f>10000000*0.002+(60000000-10000000)*0.00005</f>
        <v>22500</v>
      </c>
      <c r="G18" s="41">
        <f>10000000*0.002+(60000000-10000000)*0.00005</f>
        <v>22500</v>
      </c>
      <c r="H18" s="41">
        <f>10000000*0.0023+(60000000-10000000)*0.0001</f>
        <v>28000</v>
      </c>
    </row>
    <row r="19" spans="1:8" ht="20.25" customHeight="1">
      <c r="A19" s="31" t="s">
        <v>60</v>
      </c>
      <c r="B19" s="41">
        <f>1000000*0.006+9000000*0.0025+40000000*0.0008+(70000000-50000000)*0.0005</f>
        <v>70500</v>
      </c>
      <c r="C19" s="41">
        <f>10000000*0.0025+(70000000-10000000)*0.00012</f>
        <v>32200</v>
      </c>
      <c r="D19" s="41">
        <f>10000000*0.002+(70000000-10000000)*0.0001</f>
        <v>26000</v>
      </c>
      <c r="E19" s="41">
        <f>10000000*0.002+(70000000-10000000)*0.0001</f>
        <v>26000</v>
      </c>
      <c r="F19" s="41">
        <f>10000000*0.002+(70000000-10000000)*0.00005</f>
        <v>23000</v>
      </c>
      <c r="G19" s="41">
        <f>10000000*0.002+(70000000-10000000)*0.00005</f>
        <v>23000</v>
      </c>
      <c r="H19" s="41">
        <f>10000000*0.0023+(70000000-10000000)*0.0001</f>
        <v>29000</v>
      </c>
    </row>
    <row r="20" spans="1:8" ht="20.25" customHeight="1">
      <c r="A20" s="31" t="s">
        <v>61</v>
      </c>
      <c r="B20" s="41">
        <f>1000000*0.006+9000000*0.0025+40000000*0.0008+(80000000-50000000)*0.0005</f>
        <v>75500</v>
      </c>
      <c r="C20" s="41">
        <f>10000000*0.0025+(80000000-10000000)*0.00012</f>
        <v>33400</v>
      </c>
      <c r="D20" s="41">
        <f>10000000*0.002+(80000000-10000000)*0.0001</f>
        <v>27000</v>
      </c>
      <c r="E20" s="41">
        <f>10000000*0.002+(80000000-10000000)*0.0001</f>
        <v>27000</v>
      </c>
      <c r="F20" s="41">
        <f>10000000*0.002+(80000000-10000000)*0.00005</f>
        <v>23500</v>
      </c>
      <c r="G20" s="41">
        <f>10000000*0.002+(80000000-10000000)*0.00005</f>
        <v>23500</v>
      </c>
      <c r="H20" s="41">
        <f>10000000*0.0023+(80000000-10000000)*0.0001</f>
        <v>30000</v>
      </c>
    </row>
    <row r="21" spans="1:8" ht="20.25" customHeight="1">
      <c r="A21" s="31" t="s">
        <v>62</v>
      </c>
      <c r="B21" s="41">
        <f>1000000*0.006+9000000*0.0025+40000000*0.0008+(90000000-50000000)*0.0005</f>
        <v>80500</v>
      </c>
      <c r="C21" s="41">
        <f>10000000*0.0025+(90000000-10000000)*0.00012</f>
        <v>34600</v>
      </c>
      <c r="D21" s="41">
        <f>10000000*0.002+(90000000-10000000)*0.0001</f>
        <v>28000</v>
      </c>
      <c r="E21" s="41">
        <f>10000000*0.002+(90000000-10000000)*0.0001</f>
        <v>28000</v>
      </c>
      <c r="F21" s="41">
        <f>10000000*0.002+(90000000-10000000)*0.00005</f>
        <v>24000</v>
      </c>
      <c r="G21" s="41">
        <f>10000000*0.002+(90000000-10000000)*0.00005</f>
        <v>24000</v>
      </c>
      <c r="H21" s="41">
        <f>10000000*0.0023+(90000000-10000000)*0.0001</f>
        <v>31000</v>
      </c>
    </row>
    <row r="22" spans="1:8" ht="20.25" customHeight="1">
      <c r="A22" s="31" t="s">
        <v>63</v>
      </c>
      <c r="B22" s="41">
        <f>1000000*0.006+9000000*0.0025+40000000*0.0008+(100000000-50000000)*0.0005</f>
        <v>85500</v>
      </c>
      <c r="C22" s="41">
        <f>10000000*0.0025+(100000000-10000000)*0.00012</f>
        <v>35800</v>
      </c>
      <c r="D22" s="41">
        <f>10000000*0.002+(100000000-10000000)*0.0001</f>
        <v>29000</v>
      </c>
      <c r="E22" s="41">
        <f>10000000*0.002+(100000000-10000000)*0.0001</f>
        <v>29000</v>
      </c>
      <c r="F22" s="41">
        <f>10000000*0.002+(100000000-10000000)*0.00005</f>
        <v>24500</v>
      </c>
      <c r="G22" s="41">
        <f>10000000*0.002+(100000000-10000000)*0.00005</f>
        <v>24500</v>
      </c>
      <c r="H22" s="41">
        <f>10000000*0.0023+(100000000-10000000)*0.0001</f>
        <v>32000</v>
      </c>
    </row>
    <row r="23" spans="1:8" ht="20.25" customHeight="1">
      <c r="A23" s="31" t="s">
        <v>76</v>
      </c>
      <c r="B23" s="41">
        <f>1000000*0.006+9000000*0.0025+40000000*0.0008+50000000*0.0005+(200000000-100000000)*0.0001</f>
        <v>95500</v>
      </c>
      <c r="C23" s="41">
        <f>10000000*0.0025+90000000*0.00012+(200000000-100000000)*0.0001</f>
        <v>45800</v>
      </c>
      <c r="D23" s="41">
        <f>10000000*0.002+90000000*0.0001+(200000000-100000000)*0.00008</f>
        <v>37000</v>
      </c>
      <c r="E23" s="41">
        <f>10000000*0.002+90000000*0.0001+(200000000-100000000)*0.00008</f>
        <v>37000</v>
      </c>
      <c r="F23" s="41">
        <f>10000000*0.002+90000000*0.00005+(200000000-100000000)*0.00003</f>
        <v>27500</v>
      </c>
      <c r="G23" s="41">
        <f>10000000*0.002+90000000*0.00005+(200000000-100000000)*0.00003</f>
        <v>27500</v>
      </c>
      <c r="H23" s="41">
        <f>10000000*0.0023+90000000*0.0001+(200000000-100000000)*0.00008</f>
        <v>40000</v>
      </c>
    </row>
    <row r="24" spans="1:8" ht="20.25" customHeight="1">
      <c r="A24" s="31" t="s">
        <v>64</v>
      </c>
      <c r="B24" s="41">
        <f>1000000*0.006+9000000*0.0025+40000000*0.0008+50000000*0.0005+(300000000-100000000)*0.0001</f>
        <v>105500</v>
      </c>
      <c r="C24" s="41">
        <f>10000000*0.0025+90000000*0.00012+(300000000-100000000)*0.0001</f>
        <v>55800</v>
      </c>
      <c r="D24" s="41">
        <f>10000000*0.002+90000000*0.0001+(300000000-100000000)*0.00008</f>
        <v>45000</v>
      </c>
      <c r="E24" s="41">
        <f>10000000*0.002+90000000*0.0001+(300000000-100000000)*0.00008</f>
        <v>45000</v>
      </c>
      <c r="F24" s="41">
        <f>10000000*0.002+90000000*0.00005+(300000000-100000000)*0.00003</f>
        <v>30500</v>
      </c>
      <c r="G24" s="41">
        <f>10000000*0.002+90000000*0.00005+(300000000-100000000)*0.00003</f>
        <v>30500</v>
      </c>
      <c r="H24" s="41">
        <f>10000000*0.0023+90000000*0.0001+(300000000-100000000)*0.00008</f>
        <v>48000</v>
      </c>
    </row>
    <row r="25" spans="1:8" ht="20.25" customHeight="1">
      <c r="A25" s="31" t="s">
        <v>65</v>
      </c>
      <c r="B25" s="41">
        <f>1000000*0.006+9000000*0.0025+40000000*0.0008+50000000*0.0005+(400000000-100000000)*0.0001</f>
        <v>115500</v>
      </c>
      <c r="C25" s="41">
        <f>10000000*0.0025+90000000*0.00012+(400000000-100000000)*0.0001</f>
        <v>65800</v>
      </c>
      <c r="D25" s="41">
        <f>10000000*0.002+90000000*0.0001+(400000000-100000000)*0.00008</f>
        <v>53000</v>
      </c>
      <c r="E25" s="41">
        <f>10000000*0.002+90000000*0.0001+(400000000-100000000)*0.00008</f>
        <v>53000</v>
      </c>
      <c r="F25" s="41">
        <f>10000000*0.002+90000000*0.00005+(400000000-100000000)*0.00003</f>
        <v>33500</v>
      </c>
      <c r="G25" s="41">
        <f>10000000*0.002+90000000*0.00005+(400000000-100000000)*0.00003</f>
        <v>33500</v>
      </c>
      <c r="H25" s="41">
        <f>10000000*0.0023+90000000*0.0001+(400000000-100000000)*0.00008</f>
        <v>56000</v>
      </c>
    </row>
    <row r="26" spans="1:8" ht="20.25" customHeight="1">
      <c r="A26" s="31" t="s">
        <v>66</v>
      </c>
      <c r="B26" s="41">
        <f>1000000*0.006+9000000*0.0025+40000000*0.0008+50000000*0.0005+(500000000-100000000)*0.0001</f>
        <v>125500</v>
      </c>
      <c r="C26" s="41">
        <f>10000000*0.0025+90000000*0.00012+(500000000-100000000)*0.0001</f>
        <v>75800</v>
      </c>
      <c r="D26" s="41">
        <f>10000000*0.002+90000000*0.0001+(500000000-100000000)*0.00008</f>
        <v>61000</v>
      </c>
      <c r="E26" s="41">
        <f>10000000*0.002+90000000*0.0001+(500000000-100000000)*0.00008</f>
        <v>61000</v>
      </c>
      <c r="F26" s="41">
        <f>10000000*0.002+90000000*0.00005+(500000000-100000000)*0.00003</f>
        <v>36500</v>
      </c>
      <c r="G26" s="41">
        <f>10000000*0.002+90000000*0.00005+(500000000-100000000)*0.00003</f>
        <v>36500</v>
      </c>
      <c r="H26" s="41">
        <f>10000000*0.0023+90000000*0.0001+(500000000-100000000)*0.00008</f>
        <v>64000</v>
      </c>
    </row>
    <row r="27" spans="1:8" ht="20.25" customHeight="1">
      <c r="A27" s="31" t="s">
        <v>47</v>
      </c>
      <c r="B27" s="41">
        <f>1000000*0.006+9000000*0.0025+40000000*0.0008+50000000*0.0005+(600000000-100000000)*0.0001</f>
        <v>135500</v>
      </c>
      <c r="C27" s="41">
        <f>10000000*0.0025+90000000*0.00012+(600000000-100000000)*0.0001</f>
        <v>85800</v>
      </c>
      <c r="D27" s="41">
        <f>10000000*0.002+90000000*0.0001+(600000000-100000000)*0.00008</f>
        <v>69000</v>
      </c>
      <c r="E27" s="41">
        <f>10000000*0.002+90000000*0.0001+(600000000-100000000)*0.00008</f>
        <v>69000</v>
      </c>
      <c r="F27" s="41">
        <f>10000000*0.002+90000000*0.00005+(600000000-100000000)*0.00003</f>
        <v>39500</v>
      </c>
      <c r="G27" s="41">
        <f>10000000*0.002+90000000*0.00005+(600000000-100000000)*0.00003</f>
        <v>39500</v>
      </c>
      <c r="H27" s="41">
        <f>10000000*0.0023+90000000*0.0001+(600000000-100000000)*0.00008</f>
        <v>72000</v>
      </c>
    </row>
    <row r="28" spans="1:8" ht="20.25" customHeight="1">
      <c r="A28" s="31" t="s">
        <v>48</v>
      </c>
      <c r="B28" s="41">
        <f>1000000*0.006+9000000*0.0025+40000000*0.0008+50000000*0.0005+(700000000-100000000)*0.0001</f>
        <v>145500</v>
      </c>
      <c r="C28" s="41">
        <f>10000000*0.0025+90000000*0.00012+(700000000-100000000)*0.0001</f>
        <v>95800</v>
      </c>
      <c r="D28" s="41">
        <f>10000000*0.002+90000000*0.0001+(700000000-100000000)*0.00008</f>
        <v>77000</v>
      </c>
      <c r="E28" s="41">
        <f>10000000*0.002+90000000*0.0001+(700000000-100000000)*0.00008</f>
        <v>77000</v>
      </c>
      <c r="F28" s="41">
        <f>10000000*0.002+90000000*0.00005+(700000000-100000000)*0.00003</f>
        <v>42500</v>
      </c>
      <c r="G28" s="41">
        <f>10000000*0.002+90000000*0.00005+(700000000-100000000)*0.00003</f>
        <v>42500</v>
      </c>
      <c r="H28" s="41">
        <f>10000000*0.0023+90000000*0.0001+(700000000-100000000)*0.00008</f>
        <v>80000</v>
      </c>
    </row>
    <row r="29" spans="1:8" ht="20.25" customHeight="1">
      <c r="A29" s="31" t="s">
        <v>49</v>
      </c>
      <c r="B29" s="41">
        <f>1000000*0.006+9000000*0.0025+40000000*0.0008+50000000*0.0005+(800000000-100000000)*0.0001</f>
        <v>155500</v>
      </c>
      <c r="C29" s="41">
        <f>10000000*0.0025+90000000*0.00012+(800000000-100000000)*0.0001</f>
        <v>105800</v>
      </c>
      <c r="D29" s="41">
        <f>10000000*0.002+90000000*0.0001+(800000000-100000000)*0.00008</f>
        <v>85000</v>
      </c>
      <c r="E29" s="41">
        <f>10000000*0.002+90000000*0.0001+(800000000-100000000)*0.00008</f>
        <v>85000</v>
      </c>
      <c r="F29" s="41">
        <f>10000000*0.002+90000000*0.00005+(800000000-100000000)*0.00003</f>
        <v>45500</v>
      </c>
      <c r="G29" s="41">
        <f>10000000*0.002+90000000*0.00005+(800000000-100000000)*0.00003</f>
        <v>45500</v>
      </c>
      <c r="H29" s="41">
        <f>10000000*0.0023+90000000*0.0001+(800000000-100000000)*0.00008</f>
        <v>88000</v>
      </c>
    </row>
    <row r="30" spans="1:8" ht="20.25" customHeight="1">
      <c r="A30" s="31" t="s">
        <v>50</v>
      </c>
      <c r="B30" s="41">
        <f>1000000*0.006+9000000*0.0025+40000000*0.0008+50000000*0.0005+(900000000-100000000)*0.0001</f>
        <v>165500</v>
      </c>
      <c r="C30" s="41">
        <f>10000000*0.0025+90000000*0.00012+(900000000-100000000)*0.0001</f>
        <v>115800</v>
      </c>
      <c r="D30" s="41">
        <f>10000000*0.002+90000000*0.0001+(900000000-100000000)*0.00008</f>
        <v>93000</v>
      </c>
      <c r="E30" s="41">
        <f>10000000*0.002+90000000*0.0001+(900000000-100000000)*0.00008</f>
        <v>93000</v>
      </c>
      <c r="F30" s="41">
        <f>10000000*0.002+90000000*0.00005+(900000000-100000000)*0.00003</f>
        <v>48500</v>
      </c>
      <c r="G30" s="41">
        <f>10000000*0.002+90000000*0.00005+(900000000-100000000)*0.00003</f>
        <v>48500</v>
      </c>
      <c r="H30" s="41">
        <f>10000000*0.0023+90000000*0.0001+(900000000-100000000)*0.00008</f>
        <v>96000</v>
      </c>
    </row>
    <row r="31" spans="1:8" ht="20.25" customHeight="1">
      <c r="A31" s="31" t="s">
        <v>51</v>
      </c>
      <c r="B31" s="41">
        <f>1000000*0.006+9000000*0.0025+40000000*0.0008+50000000*0.0005+(1000000000-100000000)*0.0001</f>
        <v>175500</v>
      </c>
      <c r="C31" s="41">
        <f>10000000*0.0025+90000000*0.00012+(1000000000-100000000)*0.0001</f>
        <v>125800</v>
      </c>
      <c r="D31" s="41">
        <f>10000000*0.002+90000000*0.0001+(1000000000-100000000)*0.00008</f>
        <v>101000</v>
      </c>
      <c r="E31" s="41">
        <f>10000000*0.002+90000000*0.0001+(1000000000-100000000)*0.00008</f>
        <v>101000</v>
      </c>
      <c r="F31" s="41">
        <f>10000000*0.002+90000000*0.00005+(1000000000-100000000)*0.00003</f>
        <v>51500</v>
      </c>
      <c r="G31" s="41">
        <f>10000000*0.002+90000000*0.00005+(1000000000-100000000)*0.00003</f>
        <v>51500</v>
      </c>
      <c r="H31" s="41">
        <f>10000000*0.0023+90000000*0.0001+(1000000000-100000000)*0.00008</f>
        <v>104000</v>
      </c>
    </row>
    <row r="34" spans="1:8" s="33" customFormat="1" ht="15.75">
      <c r="A34" s="33" t="s">
        <v>77</v>
      </c>
      <c r="B34" s="34"/>
      <c r="C34" s="34"/>
      <c r="D34" s="34"/>
      <c r="E34" s="34"/>
      <c r="F34" s="34"/>
      <c r="G34" s="34"/>
      <c r="H34" s="34"/>
    </row>
    <row r="35" spans="1:8" s="37" customFormat="1" ht="15.75">
      <c r="A35" s="35" t="s">
        <v>78</v>
      </c>
      <c r="B35" s="36"/>
      <c r="C35" s="36"/>
      <c r="D35" s="36"/>
      <c r="E35" s="36"/>
      <c r="F35" s="36"/>
      <c r="G35" s="36"/>
      <c r="H35" s="36"/>
    </row>
  </sheetData>
  <mergeCells count="7">
    <mergeCell ref="H2:H3"/>
    <mergeCell ref="D2:D3"/>
    <mergeCell ref="C2:C3"/>
    <mergeCell ref="B2:B3"/>
    <mergeCell ref="E2:E3"/>
    <mergeCell ref="F2:F3"/>
    <mergeCell ref="G2:G3"/>
  </mergeCells>
  <printOptions/>
  <pageMargins left="0.51" right="0.32" top="0.7" bottom="0.6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陈泽滨</dc:creator>
  <cp:keywords/>
  <dc:description/>
  <cp:lastModifiedBy>j</cp:lastModifiedBy>
  <cp:lastPrinted>2008-10-28T08:04:15Z</cp:lastPrinted>
  <dcterms:created xsi:type="dcterms:W3CDTF">2005-04-20T02:51:46Z</dcterms:created>
  <dcterms:modified xsi:type="dcterms:W3CDTF">2010-04-21T09:40:16Z</dcterms:modified>
  <cp:category/>
  <cp:version/>
  <cp:contentType/>
  <cp:contentStatus/>
</cp:coreProperties>
</file>